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Лист1!$A$1:$P$42</definedName>
  </definedNames>
  <calcPr calcId="125725"/>
</workbook>
</file>

<file path=xl/calcChain.xml><?xml version="1.0" encoding="utf-8"?>
<calcChain xmlns="http://schemas.openxmlformats.org/spreadsheetml/2006/main">
  <c r="O9" i="1"/>
  <c r="O10"/>
  <c r="O11"/>
  <c r="O12"/>
  <c r="O13"/>
  <c r="O14"/>
  <c r="O15"/>
  <c r="O16"/>
  <c r="O17"/>
  <c r="O18"/>
  <c r="O19"/>
  <c r="O20"/>
  <c r="O21"/>
  <c r="O22"/>
  <c r="O8"/>
  <c r="O25"/>
  <c r="O26"/>
  <c r="O24"/>
  <c r="D23"/>
  <c r="O23" s="1"/>
  <c r="O30"/>
  <c r="D32"/>
  <c r="D31"/>
  <c r="O32"/>
  <c r="O31"/>
  <c r="O27" l="1"/>
  <c r="O33"/>
  <c r="O34"/>
  <c r="O37" s="1"/>
  <c r="K37"/>
  <c r="L37"/>
  <c r="M37"/>
  <c r="K34"/>
  <c r="L34"/>
  <c r="M34"/>
  <c r="K33"/>
  <c r="L33"/>
  <c r="M33"/>
  <c r="N30"/>
  <c r="K27"/>
  <c r="L27"/>
  <c r="M27"/>
  <c r="N9"/>
  <c r="N10"/>
  <c r="N11"/>
  <c r="N12"/>
  <c r="N13"/>
  <c r="N14"/>
  <c r="N15"/>
  <c r="N16"/>
  <c r="N17"/>
  <c r="N18"/>
  <c r="N19"/>
  <c r="N20"/>
  <c r="N21"/>
  <c r="N22"/>
  <c r="N24"/>
  <c r="N25"/>
  <c r="N26"/>
  <c r="N8"/>
  <c r="D29" i="2"/>
  <c r="C29"/>
  <c r="C30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1" i="1"/>
  <c r="I21" s="1"/>
  <c r="J21" s="1"/>
  <c r="H22"/>
  <c r="L22"/>
  <c r="M22" s="1"/>
  <c r="L21"/>
  <c r="M21" s="1"/>
  <c r="H36"/>
  <c r="I36"/>
  <c r="J36" s="1"/>
  <c r="H23"/>
  <c r="I23" s="1"/>
  <c r="J23" s="1"/>
  <c r="N23" s="1"/>
  <c r="H24"/>
  <c r="H25"/>
  <c r="I25" s="1"/>
  <c r="J25" s="1"/>
  <c r="H26"/>
  <c r="H32"/>
  <c r="I32" s="1"/>
  <c r="H8"/>
  <c r="I8"/>
  <c r="J8" s="1"/>
  <c r="H9"/>
  <c r="I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0"/>
  <c r="I20" s="1"/>
  <c r="J20" s="1"/>
  <c r="I24"/>
  <c r="J24"/>
  <c r="I26"/>
  <c r="J26"/>
  <c r="H31"/>
  <c r="I31" s="1"/>
  <c r="J31" s="1"/>
  <c r="N31" s="1"/>
  <c r="A32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33"/>
  <c r="I30"/>
  <c r="J30"/>
  <c r="I22"/>
  <c r="J22"/>
  <c r="N27" l="1"/>
  <c r="H27"/>
  <c r="J32"/>
  <c r="N32" s="1"/>
  <c r="I33"/>
  <c r="J33"/>
  <c r="J9"/>
  <c r="J27" s="1"/>
  <c r="I27"/>
  <c r="N33" l="1"/>
  <c r="N34" s="1"/>
  <c r="N37" s="1"/>
  <c r="J34"/>
  <c r="J37" s="1"/>
  <c r="G27"/>
  <c r="I34"/>
  <c r="G34" s="1"/>
  <c r="G37" s="1"/>
</calcChain>
</file>

<file path=xl/sharedStrings.xml><?xml version="1.0" encoding="utf-8"?>
<sst xmlns="http://schemas.openxmlformats.org/spreadsheetml/2006/main" count="141" uniqueCount="86">
  <si>
    <t xml:space="preserve"> Площадь МКД</t>
  </si>
  <si>
    <t>Содержание общего имущества и управление МКД</t>
  </si>
  <si>
    <t>№</t>
  </si>
  <si>
    <t>Код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</si>
  <si>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</si>
  <si>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</si>
  <si>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</si>
  <si>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</si>
  <si>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</si>
  <si>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</si>
  <si>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</si>
  <si>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</si>
  <si>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</si>
  <si>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</si>
  <si>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</si>
  <si>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</si>
  <si>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</si>
  <si>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</si>
  <si>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</si>
  <si>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</si>
  <si>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</si>
  <si>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</si>
  <si>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</si>
  <si>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</si>
  <si>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</si>
  <si>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</si>
  <si>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</si>
  <si>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</si>
  <si>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</si>
  <si>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</si>
  <si>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</si>
  <si>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</si>
  <si>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</si>
  <si>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</si>
  <si>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</si>
  <si>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</si>
  <si>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</si>
  <si>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</si>
  <si>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</si>
  <si>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</si>
  <si>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</si>
  <si>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</si>
  <si>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</si>
  <si>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</si>
  <si>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Осмотр наружных конструкций кирпичного или каменного дома</t>
  </si>
  <si>
    <t>стоимотсть на 1 кв м общ. пл.</t>
  </si>
  <si>
    <t>убрать при печати</t>
  </si>
  <si>
    <t>г. Рязань ул. Новаторов д. 29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</si>
  <si>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</si>
  <si>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</si>
  <si>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</si>
  <si>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 xml:space="preserve">Уборка лестничных площадок и маршей </t>
  </si>
  <si>
    <t xml:space="preserve">Подметание прилегающей территории </t>
  </si>
  <si>
    <t>Периодичность работ и услуг</t>
  </si>
  <si>
    <t>постоянно</t>
  </si>
  <si>
    <t>Замер сопротивления изоляции</t>
  </si>
  <si>
    <t>ОДН</t>
  </si>
  <si>
    <t>Итого:</t>
  </si>
  <si>
    <t>Тариф на 1м2/мес. в руб. без ОДН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</si>
  <si>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</si>
  <si>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</si>
  <si>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</si>
  <si>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</si>
  <si>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</si>
  <si>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</si>
  <si>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Осмотр мест общего пользования</t>
  </si>
  <si>
    <t>Аварийное обслуживание, непредвиденные работы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</si>
  <si>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</si>
  <si>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</si>
  <si>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</si>
  <si>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</si>
  <si>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</si>
  <si>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</si>
  <si>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29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</si>
  <si>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</si>
  <si>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</si>
  <si>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</si>
  <si>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</si>
  <si>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</si>
  <si>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 xml:space="preserve">Тариф с КРСОИ </t>
  </si>
  <si>
    <t>с 4%</t>
  </si>
  <si>
    <t>Стоимость на 1 кв м общ. пл.</t>
  </si>
  <si>
    <t>Коммунальные ресурсы потребляемые в целях содержания общего имущества в многоквартирном доме (КРСОИ) с 01.07.2024</t>
  </si>
  <si>
    <t xml:space="preserve"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п.4.2 Договора управления МКД от 01.01.2011г.     
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</si>
  <si>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</si>
  <si>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2025г. 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</si>
</sst>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5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6" fillId="0" borderId="0" xfId="0" applyFont="1"/>
    <xf numFmtId="0" fontId="7" fillId="0" borderId="0" xfId="0" applyFont="1" applyFill="1" applyAlignment="1">
      <alignment horizontal="right"/>
    </xf>
    <xf numFmtId="0" fontId="6" fillId="2" borderId="0" xfId="0" applyFont="1" applyFill="1"/>
    <xf numFmtId="0" fontId="8" fillId="0" borderId="0" xfId="0" applyFont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7" fillId="0" borderId="0" xfId="0" applyFont="1" applyFill="1" applyBorder="1" applyAlignment="1">
      <alignment horizontal="center"/>
    </xf>
    <xf numFmtId="0" fontId="6" fillId="0" borderId="0" xfId="0" applyFont="1" applyFill="1"/>
    <xf numFmtId="0" fontId="2" fillId="0" borderId="1" xfId="0" applyFont="1" applyBorder="1" applyAlignment="1">
      <alignment horizontal="justify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2" borderId="0" xfId="0" applyFont="1" applyFill="1" applyBorder="1"/>
    <xf numFmtId="0" fontId="11" fillId="0" borderId="0" xfId="0" applyFont="1" applyFill="1" applyBorder="1" applyAlignment="1">
      <alignment horizontal="left" vertical="center" wrapText="1"/>
    </xf>
    <xf numFmtId="0" fontId="7" fillId="0" borderId="0" xfId="0" applyFont="1" applyBorder="1"/>
    <xf numFmtId="4" fontId="6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6" fillId="0" borderId="0" xfId="0" applyFont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8" fillId="2" borderId="0" xfId="0" applyFont="1" applyFill="1"/>
    <xf numFmtId="0" fontId="7" fillId="2" borderId="0" xfId="0" applyFont="1" applyFill="1" applyBorder="1"/>
    <xf numFmtId="0" fontId="7" fillId="2" borderId="0" xfId="0" applyFont="1" applyFill="1"/>
    <xf numFmtId="0" fontId="8" fillId="0" borderId="0" xfId="0" applyFont="1" applyFill="1" applyBorder="1"/>
    <xf numFmtId="0" fontId="8" fillId="0" borderId="0" xfId="0" applyFont="1" applyFill="1"/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wrapText="1"/>
    </xf>
    <xf numFmtId="2" fontId="12" fillId="0" borderId="0" xfId="0" applyNumberFormat="1" applyFont="1"/>
    <xf numFmtId="4" fontId="6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justify" wrapText="1"/>
    </xf>
    <xf numFmtId="2" fontId="5" fillId="0" borderId="1" xfId="0" applyNumberFormat="1" applyFont="1" applyFill="1" applyBorder="1" applyAlignment="1">
      <alignment vertical="center" wrapText="1"/>
    </xf>
    <xf numFmtId="0" fontId="12" fillId="0" borderId="1" xfId="0" applyFont="1" applyBorder="1"/>
    <xf numFmtId="2" fontId="12" fillId="0" borderId="1" xfId="0" applyNumberFormat="1" applyFont="1" applyBorder="1" applyAlignme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/>
    <xf numFmtId="0" fontId="11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Border="1"/>
    <xf numFmtId="164" fontId="1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14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2" fontId="8" fillId="0" borderId="7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6" fillId="0" borderId="5" xfId="0" applyFont="1" applyBorder="1" applyAlignment="1"/>
    <xf numFmtId="2" fontId="12" fillId="0" borderId="2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justify" wrapText="1"/>
    </xf>
    <xf numFmtId="2" fontId="6" fillId="0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/>
    <xf numFmtId="164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8" fillId="0" borderId="1" xfId="0" applyFont="1" applyFill="1" applyBorder="1" applyAlignment="1">
      <alignment horizontal="right"/>
    </xf>
    <xf numFmtId="4" fontId="8" fillId="0" borderId="2" xfId="0" applyNumberFormat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4" fontId="8" fillId="0" borderId="1" xfId="0" applyNumberFormat="1" applyFont="1" applyFill="1" applyBorder="1"/>
    <xf numFmtId="4" fontId="8" fillId="0" borderId="2" xfId="0" applyNumberFormat="1" applyFont="1" applyFill="1" applyBorder="1"/>
    <xf numFmtId="2" fontId="8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/>
    <xf numFmtId="0" fontId="6" fillId="0" borderId="1" xfId="0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8" fillId="0" borderId="1" xfId="0" applyFont="1" applyFill="1" applyBorder="1"/>
    <xf numFmtId="0" fontId="8" fillId="0" borderId="2" xfId="0" applyFont="1" applyFill="1" applyBorder="1"/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4"/>
  <sheetViews>
    <sheetView tabSelected="1" view="pageBreakPreview" topLeftCell="A16" zoomScale="75" zoomScaleNormal="70" zoomScaleSheetLayoutView="75" workbookViewId="0">
      <selection activeCell="C29" sqref="C29"/>
    </sheetView>
  </sheetViews>
  <sheetFormatPr defaultColWidth="8.85546875" defaultRowHeight="15.75"/>
  <cols>
    <col min="1" max="1" width="18.710937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4" customWidth="1"/>
    <col min="7" max="7" width="15.5703125" style="24" hidden="1" customWidth="1"/>
    <col min="8" max="9" width="15.5703125" style="29" hidden="1" customWidth="1"/>
    <col min="10" max="10" width="15.5703125" style="37" hidden="1" customWidth="1"/>
    <col min="11" max="11" width="13.140625" style="1" hidden="1" customWidth="1"/>
    <col min="12" max="12" width="12.5703125" style="1" hidden="1" customWidth="1"/>
    <col min="13" max="13" width="14.7109375" style="1" hidden="1" customWidth="1"/>
    <col min="14" max="14" width="0" style="31" hidden="1" customWidth="1"/>
    <col min="15" max="15" width="15.85546875" style="75" customWidth="1"/>
    <col min="16" max="17" width="8.85546875" style="31"/>
    <col min="18" max="16384" width="8.85546875" style="1"/>
  </cols>
  <sheetData>
    <row r="1" spans="1:17">
      <c r="F1" s="2"/>
      <c r="G1" s="2"/>
    </row>
    <row r="2" spans="1:17">
      <c r="E2" s="79" t="s">
        <v>84</v>
      </c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7" s="3" customFormat="1" ht="18.75" customHeight="1">
      <c r="A3" s="81" t="s">
        <v>85</v>
      </c>
      <c r="B3" s="81"/>
      <c r="C3" s="81"/>
      <c r="D3" s="81"/>
      <c r="E3" s="81"/>
      <c r="F3" s="81"/>
      <c r="G3" s="81"/>
      <c r="H3" s="81"/>
      <c r="I3" s="81"/>
      <c r="J3" s="82"/>
      <c r="K3" s="82"/>
      <c r="L3" s="82"/>
      <c r="M3" s="82"/>
      <c r="N3" s="82"/>
      <c r="O3" s="82"/>
      <c r="P3" s="32"/>
      <c r="Q3" s="32"/>
    </row>
    <row r="4" spans="1:17" s="3" customFormat="1" ht="38.25" customHeight="1">
      <c r="A4" s="81"/>
      <c r="B4" s="81"/>
      <c r="C4" s="81"/>
      <c r="D4" s="81"/>
      <c r="E4" s="81"/>
      <c r="F4" s="81"/>
      <c r="G4" s="81"/>
      <c r="H4" s="81"/>
      <c r="I4" s="81"/>
      <c r="J4" s="82"/>
      <c r="K4" s="82"/>
      <c r="L4" s="82"/>
      <c r="M4" s="82"/>
      <c r="N4" s="82"/>
      <c r="O4" s="82"/>
      <c r="P4" s="32"/>
      <c r="Q4" s="32"/>
    </row>
    <row r="5" spans="1:17" ht="24.75" customHeight="1">
      <c r="A5" s="4"/>
      <c r="B5" s="4" t="s">
        <v>47</v>
      </c>
      <c r="C5" s="4" t="s">
        <v>0</v>
      </c>
      <c r="D5" s="5">
        <v>3785.2</v>
      </c>
      <c r="E5" s="6"/>
      <c r="F5" s="7"/>
      <c r="G5" s="7"/>
      <c r="H5" s="26"/>
      <c r="I5" s="26"/>
      <c r="K5" s="4"/>
      <c r="L5" s="4"/>
    </row>
    <row r="6" spans="1:17" ht="20.25" customHeight="1">
      <c r="A6" s="83" t="s">
        <v>1</v>
      </c>
      <c r="B6" s="83"/>
      <c r="C6" s="83"/>
      <c r="D6" s="83"/>
      <c r="E6" s="83"/>
      <c r="F6" s="83"/>
      <c r="G6" s="83"/>
      <c r="H6" s="83"/>
      <c r="I6" s="83"/>
      <c r="K6" s="87" t="s">
        <v>46</v>
      </c>
      <c r="L6" s="87"/>
      <c r="M6" s="87"/>
    </row>
    <row r="7" spans="1:17" ht="53.45" customHeight="1">
      <c r="A7" s="8" t="s">
        <v>2</v>
      </c>
      <c r="B7" s="8" t="s">
        <v>4</v>
      </c>
      <c r="C7" s="8" t="s">
        <v>5</v>
      </c>
      <c r="D7" s="8" t="s">
        <v>6</v>
      </c>
      <c r="E7" s="8" t="s">
        <v>7</v>
      </c>
      <c r="F7" s="9" t="s">
        <v>53</v>
      </c>
      <c r="G7" s="9"/>
      <c r="H7" s="12" t="s">
        <v>9</v>
      </c>
      <c r="I7" s="12" t="s">
        <v>8</v>
      </c>
      <c r="J7" s="41" t="s">
        <v>45</v>
      </c>
      <c r="K7" s="8" t="s">
        <v>3</v>
      </c>
      <c r="L7" s="8"/>
      <c r="M7" s="68"/>
      <c r="N7" s="70" t="s">
        <v>80</v>
      </c>
      <c r="O7" s="73" t="s">
        <v>81</v>
      </c>
      <c r="P7" s="33"/>
      <c r="Q7" s="33"/>
    </row>
    <row r="8" spans="1:17" ht="63">
      <c r="A8" s="8">
        <v>1</v>
      </c>
      <c r="B8" s="10" t="s">
        <v>13</v>
      </c>
      <c r="C8" s="8" t="s">
        <v>14</v>
      </c>
      <c r="D8" s="11">
        <v>0.33</v>
      </c>
      <c r="E8" s="11">
        <v>3785.2</v>
      </c>
      <c r="F8" s="9" t="s">
        <v>15</v>
      </c>
      <c r="G8" s="9">
        <v>12</v>
      </c>
      <c r="H8" s="12">
        <f t="shared" ref="H8:H26" si="0">D8*E8</f>
        <v>1249.116</v>
      </c>
      <c r="I8" s="12">
        <f t="shared" ref="I8:I26" si="1">H8*G8</f>
        <v>14989.392</v>
      </c>
      <c r="J8" s="38">
        <f>I8/G8/E8</f>
        <v>0.33</v>
      </c>
      <c r="K8" s="35"/>
      <c r="L8" s="35"/>
      <c r="M8" s="69"/>
      <c r="N8" s="71">
        <f>J8*1.04</f>
        <v>0.34320000000000001</v>
      </c>
      <c r="O8" s="13">
        <f>N8*1.0296*1.092*1.072*1.09</f>
        <v>0.45087871608299529</v>
      </c>
    </row>
    <row r="9" spans="1:17" ht="63">
      <c r="A9" s="8">
        <f t="shared" ref="A9:A26" si="2">A8+1</f>
        <v>2</v>
      </c>
      <c r="B9" s="10" t="s">
        <v>48</v>
      </c>
      <c r="C9" s="8" t="s">
        <v>14</v>
      </c>
      <c r="D9" s="11">
        <v>0.08</v>
      </c>
      <c r="E9" s="11">
        <v>3785.2</v>
      </c>
      <c r="F9" s="9" t="s">
        <v>15</v>
      </c>
      <c r="G9" s="9">
        <v>12</v>
      </c>
      <c r="H9" s="12">
        <f t="shared" si="0"/>
        <v>302.81599999999997</v>
      </c>
      <c r="I9" s="12">
        <f t="shared" si="1"/>
        <v>3633.7919999999995</v>
      </c>
      <c r="J9" s="38">
        <f t="shared" ref="J9:J26" si="3">I9/G9/E9</f>
        <v>0.08</v>
      </c>
      <c r="K9" s="35"/>
      <c r="L9" s="35"/>
      <c r="M9" s="69"/>
      <c r="N9" s="71">
        <f t="shared" ref="N9:N26" si="4">J9*1.04</f>
        <v>8.320000000000001E-2</v>
      </c>
      <c r="O9" s="13">
        <f t="shared" ref="O9:O22" si="5">N9*1.0296*1.092*1.072*1.09</f>
        <v>0.10930393117163524</v>
      </c>
    </row>
    <row r="10" spans="1:17" ht="63">
      <c r="A10" s="8">
        <f t="shared" si="2"/>
        <v>3</v>
      </c>
      <c r="B10" s="10" t="s">
        <v>17</v>
      </c>
      <c r="C10" s="8" t="s">
        <v>16</v>
      </c>
      <c r="D10" s="11">
        <v>0.16</v>
      </c>
      <c r="E10" s="11">
        <v>3785.2</v>
      </c>
      <c r="F10" s="9" t="s">
        <v>15</v>
      </c>
      <c r="G10" s="9">
        <v>12</v>
      </c>
      <c r="H10" s="12">
        <f t="shared" si="0"/>
        <v>605.63199999999995</v>
      </c>
      <c r="I10" s="12">
        <f t="shared" si="1"/>
        <v>7267.5839999999989</v>
      </c>
      <c r="J10" s="38">
        <f t="shared" si="3"/>
        <v>0.16</v>
      </c>
      <c r="K10" s="35"/>
      <c r="L10" s="35"/>
      <c r="M10" s="69"/>
      <c r="N10" s="71">
        <f t="shared" si="4"/>
        <v>0.16640000000000002</v>
      </c>
      <c r="O10" s="13">
        <f t="shared" si="5"/>
        <v>0.21860786234327048</v>
      </c>
    </row>
    <row r="11" spans="1:17" ht="30" customHeight="1">
      <c r="A11" s="8">
        <f t="shared" si="2"/>
        <v>4</v>
      </c>
      <c r="B11" s="10" t="s">
        <v>18</v>
      </c>
      <c r="C11" s="8" t="s">
        <v>19</v>
      </c>
      <c r="D11" s="11">
        <v>7.0000000000000007E-2</v>
      </c>
      <c r="E11" s="11">
        <v>3785.2</v>
      </c>
      <c r="F11" s="9" t="s">
        <v>15</v>
      </c>
      <c r="G11" s="9">
        <v>12</v>
      </c>
      <c r="H11" s="12">
        <f t="shared" si="0"/>
        <v>264.964</v>
      </c>
      <c r="I11" s="12">
        <f t="shared" si="1"/>
        <v>3179.5680000000002</v>
      </c>
      <c r="J11" s="38">
        <f t="shared" si="3"/>
        <v>7.0000000000000007E-2</v>
      </c>
      <c r="K11" s="35"/>
      <c r="L11" s="35"/>
      <c r="M11" s="69"/>
      <c r="N11" s="71">
        <f t="shared" si="4"/>
        <v>7.2800000000000004E-2</v>
      </c>
      <c r="O11" s="13">
        <f t="shared" si="5"/>
        <v>9.564093977518083E-2</v>
      </c>
    </row>
    <row r="12" spans="1:17" ht="78.75">
      <c r="A12" s="8">
        <f t="shared" si="2"/>
        <v>5</v>
      </c>
      <c r="B12" s="10" t="s">
        <v>20</v>
      </c>
      <c r="C12" s="8" t="s">
        <v>21</v>
      </c>
      <c r="D12" s="11">
        <v>0.04</v>
      </c>
      <c r="E12" s="11">
        <v>3785.2</v>
      </c>
      <c r="F12" s="9" t="s">
        <v>15</v>
      </c>
      <c r="G12" s="9">
        <v>12</v>
      </c>
      <c r="H12" s="12">
        <f t="shared" si="0"/>
        <v>151.40799999999999</v>
      </c>
      <c r="I12" s="12">
        <f t="shared" si="1"/>
        <v>1816.8959999999997</v>
      </c>
      <c r="J12" s="38">
        <f t="shared" si="3"/>
        <v>0.04</v>
      </c>
      <c r="K12" s="35"/>
      <c r="L12" s="35"/>
      <c r="M12" s="69"/>
      <c r="N12" s="71">
        <f t="shared" si="4"/>
        <v>4.1600000000000005E-2</v>
      </c>
      <c r="O12" s="13">
        <f t="shared" si="5"/>
        <v>5.465196558581762E-2</v>
      </c>
    </row>
    <row r="13" spans="1:17" ht="63">
      <c r="A13" s="8">
        <f t="shared" si="2"/>
        <v>6</v>
      </c>
      <c r="B13" s="10" t="s">
        <v>23</v>
      </c>
      <c r="C13" s="8" t="s">
        <v>24</v>
      </c>
      <c r="D13" s="11">
        <v>0.2</v>
      </c>
      <c r="E13" s="11">
        <v>3785.2</v>
      </c>
      <c r="F13" s="9" t="s">
        <v>15</v>
      </c>
      <c r="G13" s="9">
        <v>12</v>
      </c>
      <c r="H13" s="12">
        <f t="shared" si="0"/>
        <v>757.04</v>
      </c>
      <c r="I13" s="12">
        <f t="shared" si="1"/>
        <v>9084.48</v>
      </c>
      <c r="J13" s="38">
        <f t="shared" si="3"/>
        <v>0.2</v>
      </c>
      <c r="K13" s="35"/>
      <c r="L13" s="35"/>
      <c r="M13" s="69"/>
      <c r="N13" s="71">
        <f t="shared" si="4"/>
        <v>0.20800000000000002</v>
      </c>
      <c r="O13" s="13">
        <f t="shared" si="5"/>
        <v>0.27325982792908809</v>
      </c>
    </row>
    <row r="14" spans="1:17" ht="63">
      <c r="A14" s="8">
        <f t="shared" si="2"/>
        <v>7</v>
      </c>
      <c r="B14" s="10" t="s">
        <v>49</v>
      </c>
      <c r="C14" s="8" t="s">
        <v>26</v>
      </c>
      <c r="D14" s="11">
        <v>0.18000000000000002</v>
      </c>
      <c r="E14" s="11">
        <v>3785.2</v>
      </c>
      <c r="F14" s="9" t="s">
        <v>15</v>
      </c>
      <c r="G14" s="9">
        <v>12</v>
      </c>
      <c r="H14" s="12">
        <f t="shared" si="0"/>
        <v>681.33600000000001</v>
      </c>
      <c r="I14" s="12">
        <f t="shared" si="1"/>
        <v>8176.0320000000002</v>
      </c>
      <c r="J14" s="38">
        <f t="shared" si="3"/>
        <v>0.18000000000000002</v>
      </c>
      <c r="K14" s="35"/>
      <c r="L14" s="35"/>
      <c r="M14" s="69"/>
      <c r="N14" s="71">
        <f t="shared" si="4"/>
        <v>0.18720000000000003</v>
      </c>
      <c r="O14" s="13">
        <f t="shared" si="5"/>
        <v>0.2459338451361793</v>
      </c>
    </row>
    <row r="15" spans="1:17" ht="63">
      <c r="A15" s="8">
        <f t="shared" si="2"/>
        <v>8</v>
      </c>
      <c r="B15" s="25" t="s">
        <v>44</v>
      </c>
      <c r="C15" s="8" t="s">
        <v>26</v>
      </c>
      <c r="D15" s="11">
        <v>0.19</v>
      </c>
      <c r="E15" s="11">
        <v>3785.2</v>
      </c>
      <c r="F15" s="9" t="s">
        <v>15</v>
      </c>
      <c r="G15" s="9">
        <v>12</v>
      </c>
      <c r="H15" s="12">
        <f t="shared" si="0"/>
        <v>719.18799999999999</v>
      </c>
      <c r="I15" s="12">
        <f t="shared" si="1"/>
        <v>8630.2559999999994</v>
      </c>
      <c r="J15" s="38">
        <f t="shared" si="3"/>
        <v>0.19</v>
      </c>
      <c r="K15" s="35"/>
      <c r="L15" s="35"/>
      <c r="M15" s="69"/>
      <c r="N15" s="71">
        <f t="shared" si="4"/>
        <v>0.1976</v>
      </c>
      <c r="O15" s="13">
        <f t="shared" si="5"/>
        <v>0.25959683653263366</v>
      </c>
    </row>
    <row r="16" spans="1:17" ht="33" customHeight="1">
      <c r="A16" s="8">
        <f t="shared" si="2"/>
        <v>9</v>
      </c>
      <c r="B16" s="10" t="s">
        <v>50</v>
      </c>
      <c r="C16" s="8" t="s">
        <v>14</v>
      </c>
      <c r="D16" s="11">
        <v>0.52</v>
      </c>
      <c r="E16" s="11">
        <v>3785.2</v>
      </c>
      <c r="F16" s="14" t="s">
        <v>54</v>
      </c>
      <c r="G16" s="9">
        <v>12</v>
      </c>
      <c r="H16" s="12">
        <f t="shared" si="0"/>
        <v>1968.3039999999999</v>
      </c>
      <c r="I16" s="12">
        <f t="shared" si="1"/>
        <v>23619.647999999997</v>
      </c>
      <c r="J16" s="38">
        <f t="shared" si="3"/>
        <v>0.52</v>
      </c>
      <c r="K16" s="35"/>
      <c r="L16" s="35"/>
      <c r="M16" s="69"/>
      <c r="N16" s="71">
        <f t="shared" si="4"/>
        <v>0.54080000000000006</v>
      </c>
      <c r="O16" s="13">
        <f t="shared" si="5"/>
        <v>0.71047555261562911</v>
      </c>
    </row>
    <row r="17" spans="1:17" ht="33" customHeight="1">
      <c r="A17" s="8">
        <f t="shared" si="2"/>
        <v>10</v>
      </c>
      <c r="B17" s="10" t="s">
        <v>27</v>
      </c>
      <c r="C17" s="8" t="s">
        <v>14</v>
      </c>
      <c r="D17" s="11">
        <v>0.44</v>
      </c>
      <c r="E17" s="11">
        <v>3785.2</v>
      </c>
      <c r="F17" s="14" t="s">
        <v>54</v>
      </c>
      <c r="G17" s="9">
        <v>12</v>
      </c>
      <c r="H17" s="12">
        <f t="shared" si="0"/>
        <v>1665.4879999999998</v>
      </c>
      <c r="I17" s="12">
        <f t="shared" si="1"/>
        <v>19985.856</v>
      </c>
      <c r="J17" s="38">
        <f t="shared" si="3"/>
        <v>0.44000000000000006</v>
      </c>
      <c r="K17" s="35"/>
      <c r="L17" s="35"/>
      <c r="M17" s="69"/>
      <c r="N17" s="71">
        <f t="shared" si="4"/>
        <v>0.45760000000000006</v>
      </c>
      <c r="O17" s="13">
        <f t="shared" si="5"/>
        <v>0.60117162144399394</v>
      </c>
    </row>
    <row r="18" spans="1:17" ht="41.25" customHeight="1">
      <c r="A18" s="8">
        <f t="shared" si="2"/>
        <v>11</v>
      </c>
      <c r="B18" s="10" t="s">
        <v>28</v>
      </c>
      <c r="C18" s="8" t="s">
        <v>26</v>
      </c>
      <c r="D18" s="11">
        <v>0.05</v>
      </c>
      <c r="E18" s="11">
        <v>3785.2</v>
      </c>
      <c r="F18" s="9" t="s">
        <v>29</v>
      </c>
      <c r="G18" s="9">
        <v>12</v>
      </c>
      <c r="H18" s="12">
        <f t="shared" si="0"/>
        <v>189.26</v>
      </c>
      <c r="I18" s="12">
        <f t="shared" si="1"/>
        <v>2271.12</v>
      </c>
      <c r="J18" s="38">
        <f t="shared" si="3"/>
        <v>0.05</v>
      </c>
      <c r="K18" s="35"/>
      <c r="L18" s="35"/>
      <c r="M18" s="69"/>
      <c r="N18" s="71">
        <f t="shared" si="4"/>
        <v>5.2000000000000005E-2</v>
      </c>
      <c r="O18" s="13">
        <f t="shared" si="5"/>
        <v>6.8314956982272024E-2</v>
      </c>
    </row>
    <row r="19" spans="1:17" ht="81.599999999999994" customHeight="1">
      <c r="A19" s="8">
        <f t="shared" si="2"/>
        <v>12</v>
      </c>
      <c r="B19" s="10" t="s">
        <v>30</v>
      </c>
      <c r="C19" s="8" t="s">
        <v>26</v>
      </c>
      <c r="D19" s="11">
        <v>0.08</v>
      </c>
      <c r="E19" s="11">
        <v>3785.2</v>
      </c>
      <c r="F19" s="9" t="s">
        <v>59</v>
      </c>
      <c r="G19" s="9">
        <v>12</v>
      </c>
      <c r="H19" s="12">
        <f t="shared" si="0"/>
        <v>302.81599999999997</v>
      </c>
      <c r="I19" s="12">
        <f t="shared" si="1"/>
        <v>3633.7919999999995</v>
      </c>
      <c r="J19" s="38">
        <f t="shared" si="3"/>
        <v>0.08</v>
      </c>
      <c r="K19" s="35"/>
      <c r="L19" s="35"/>
      <c r="M19" s="69"/>
      <c r="N19" s="71">
        <f t="shared" si="4"/>
        <v>8.320000000000001E-2</v>
      </c>
      <c r="O19" s="13">
        <f t="shared" si="5"/>
        <v>0.10930393117163524</v>
      </c>
    </row>
    <row r="20" spans="1:17" ht="16.5">
      <c r="A20" s="8">
        <f t="shared" si="2"/>
        <v>13</v>
      </c>
      <c r="B20" s="36" t="s">
        <v>55</v>
      </c>
      <c r="C20" s="8" t="s">
        <v>31</v>
      </c>
      <c r="D20" s="11">
        <v>0.26</v>
      </c>
      <c r="E20" s="11">
        <v>3785.2</v>
      </c>
      <c r="F20" s="9" t="s">
        <v>22</v>
      </c>
      <c r="G20" s="9">
        <v>12</v>
      </c>
      <c r="H20" s="12">
        <f t="shared" si="0"/>
        <v>984.15199999999993</v>
      </c>
      <c r="I20" s="12">
        <f t="shared" si="1"/>
        <v>11809.823999999999</v>
      </c>
      <c r="J20" s="38">
        <f t="shared" si="3"/>
        <v>0.26</v>
      </c>
      <c r="K20" s="35"/>
      <c r="L20" s="35"/>
      <c r="M20" s="69"/>
      <c r="N20" s="71">
        <f t="shared" si="4"/>
        <v>0.27040000000000003</v>
      </c>
      <c r="O20" s="13">
        <f t="shared" si="5"/>
        <v>0.35523777630781456</v>
      </c>
    </row>
    <row r="21" spans="1:17" ht="31.5">
      <c r="A21" s="8">
        <f t="shared" si="2"/>
        <v>14</v>
      </c>
      <c r="B21" s="25" t="s">
        <v>51</v>
      </c>
      <c r="C21" s="8" t="s">
        <v>32</v>
      </c>
      <c r="D21" s="11">
        <v>1.96</v>
      </c>
      <c r="E21" s="11">
        <v>3785.2</v>
      </c>
      <c r="F21" s="14" t="s">
        <v>54</v>
      </c>
      <c r="G21" s="9">
        <v>12</v>
      </c>
      <c r="H21" s="12">
        <f t="shared" si="0"/>
        <v>7418.9919999999993</v>
      </c>
      <c r="I21" s="12">
        <f t="shared" si="1"/>
        <v>89027.903999999995</v>
      </c>
      <c r="J21" s="38">
        <f t="shared" si="3"/>
        <v>1.96</v>
      </c>
      <c r="K21" s="35">
        <v>585.70000000000005</v>
      </c>
      <c r="L21" s="35">
        <f>(5442.36+800+42.41)*12</f>
        <v>75417.239999999991</v>
      </c>
      <c r="M21" s="69">
        <f>L21*0.06+L21</f>
        <v>79942.274399999995</v>
      </c>
      <c r="N21" s="71">
        <f t="shared" si="4"/>
        <v>2.0384000000000002</v>
      </c>
      <c r="O21" s="13">
        <f t="shared" si="5"/>
        <v>2.6779463137050636</v>
      </c>
    </row>
    <row r="22" spans="1:17" ht="47.25">
      <c r="A22" s="8">
        <f t="shared" si="2"/>
        <v>15</v>
      </c>
      <c r="B22" s="25" t="s">
        <v>78</v>
      </c>
      <c r="C22" s="8" t="s">
        <v>33</v>
      </c>
      <c r="D22" s="11">
        <v>3.52</v>
      </c>
      <c r="E22" s="11">
        <v>3785.2</v>
      </c>
      <c r="F22" s="9" t="s">
        <v>34</v>
      </c>
      <c r="G22" s="9">
        <v>12</v>
      </c>
      <c r="H22" s="12">
        <f t="shared" si="0"/>
        <v>13323.903999999999</v>
      </c>
      <c r="I22" s="12">
        <f t="shared" si="1"/>
        <v>159886.848</v>
      </c>
      <c r="J22" s="38">
        <f t="shared" si="3"/>
        <v>3.5200000000000005</v>
      </c>
      <c r="K22" s="35">
        <v>1030.8</v>
      </c>
      <c r="L22" s="35">
        <f>(6931.85+780+488.82)*12</f>
        <v>98408.040000000008</v>
      </c>
      <c r="M22" s="69">
        <f>L22*0.06+L22</f>
        <v>104312.5224</v>
      </c>
      <c r="N22" s="71">
        <f t="shared" si="4"/>
        <v>3.6608000000000005</v>
      </c>
      <c r="O22" s="13">
        <f t="shared" si="5"/>
        <v>4.8093729715519515</v>
      </c>
    </row>
    <row r="23" spans="1:17" ht="31.5">
      <c r="A23" s="8">
        <f t="shared" si="2"/>
        <v>16</v>
      </c>
      <c r="B23" s="15" t="s">
        <v>35</v>
      </c>
      <c r="C23" s="16" t="s">
        <v>36</v>
      </c>
      <c r="D23" s="77">
        <f>5961.66*1.09</f>
        <v>6498.2094000000006</v>
      </c>
      <c r="E23" s="11">
        <v>2</v>
      </c>
      <c r="F23" s="14" t="s">
        <v>54</v>
      </c>
      <c r="G23" s="9">
        <v>12</v>
      </c>
      <c r="H23" s="12">
        <f t="shared" si="0"/>
        <v>12996.418800000001</v>
      </c>
      <c r="I23" s="12">
        <f t="shared" si="1"/>
        <v>155957.02560000002</v>
      </c>
      <c r="J23" s="38">
        <f>I23/G23/D5</f>
        <v>3.433482722181127</v>
      </c>
      <c r="K23" s="35"/>
      <c r="L23" s="35"/>
      <c r="M23" s="69"/>
      <c r="N23" s="71">
        <f t="shared" si="4"/>
        <v>3.570822031068372</v>
      </c>
      <c r="O23" s="13">
        <f>D23*E23/E22</f>
        <v>3.433482722181127</v>
      </c>
    </row>
    <row r="24" spans="1:17">
      <c r="A24" s="8">
        <f t="shared" si="2"/>
        <v>17</v>
      </c>
      <c r="B24" s="15" t="s">
        <v>37</v>
      </c>
      <c r="C24" s="16" t="s">
        <v>14</v>
      </c>
      <c r="D24" s="11">
        <v>1.74</v>
      </c>
      <c r="E24" s="11">
        <v>3785.2</v>
      </c>
      <c r="F24" s="14" t="s">
        <v>54</v>
      </c>
      <c r="G24" s="9">
        <v>12</v>
      </c>
      <c r="H24" s="12">
        <f t="shared" si="0"/>
        <v>6586.2479999999996</v>
      </c>
      <c r="I24" s="12">
        <f t="shared" si="1"/>
        <v>79034.975999999995</v>
      </c>
      <c r="J24" s="38">
        <f t="shared" si="3"/>
        <v>1.74</v>
      </c>
      <c r="K24" s="35"/>
      <c r="L24" s="35"/>
      <c r="M24" s="69"/>
      <c r="N24" s="71">
        <f t="shared" si="4"/>
        <v>1.8096000000000001</v>
      </c>
      <c r="O24" s="13">
        <f>N24*1.0296*1.092*1.072*1.09</f>
        <v>2.3773605029830662</v>
      </c>
    </row>
    <row r="25" spans="1:17">
      <c r="A25" s="8">
        <f t="shared" si="2"/>
        <v>18</v>
      </c>
      <c r="B25" s="15" t="s">
        <v>38</v>
      </c>
      <c r="C25" s="16" t="s">
        <v>39</v>
      </c>
      <c r="D25" s="11">
        <v>0.24000000000000002</v>
      </c>
      <c r="E25" s="11">
        <v>3785.2</v>
      </c>
      <c r="F25" s="14" t="s">
        <v>54</v>
      </c>
      <c r="G25" s="9">
        <v>12</v>
      </c>
      <c r="H25" s="12">
        <f t="shared" si="0"/>
        <v>908.44799999999998</v>
      </c>
      <c r="I25" s="12">
        <f t="shared" si="1"/>
        <v>10901.376</v>
      </c>
      <c r="J25" s="38">
        <f t="shared" si="3"/>
        <v>0.24000000000000002</v>
      </c>
      <c r="K25" s="35"/>
      <c r="L25" s="35"/>
      <c r="M25" s="69"/>
      <c r="N25" s="71">
        <f t="shared" si="4"/>
        <v>0.24960000000000002</v>
      </c>
      <c r="O25" s="13">
        <f t="shared" ref="O25:O26" si="6">N25*1.0296*1.092*1.072*1.09</f>
        <v>0.32791179351490568</v>
      </c>
    </row>
    <row r="26" spans="1:17" ht="33.75" customHeight="1">
      <c r="A26" s="91">
        <f t="shared" si="2"/>
        <v>19</v>
      </c>
      <c r="B26" s="92" t="s">
        <v>40</v>
      </c>
      <c r="C26" s="93" t="s">
        <v>14</v>
      </c>
      <c r="D26" s="94">
        <v>1.3800000000000001</v>
      </c>
      <c r="E26" s="94">
        <v>3785.2</v>
      </c>
      <c r="F26" s="90" t="s">
        <v>54</v>
      </c>
      <c r="G26" s="9">
        <v>12</v>
      </c>
      <c r="H26" s="12">
        <f t="shared" si="0"/>
        <v>5223.576</v>
      </c>
      <c r="I26" s="12">
        <f t="shared" si="1"/>
        <v>62682.911999999997</v>
      </c>
      <c r="J26" s="95">
        <f t="shared" si="3"/>
        <v>1.3800000000000001</v>
      </c>
      <c r="K26" s="12"/>
      <c r="L26" s="12"/>
      <c r="M26" s="96"/>
      <c r="N26" s="97">
        <f t="shared" si="4"/>
        <v>1.4352000000000003</v>
      </c>
      <c r="O26" s="98">
        <f t="shared" si="6"/>
        <v>1.8854928127107082</v>
      </c>
      <c r="P26" s="99"/>
    </row>
    <row r="27" spans="1:17" s="3" customFormat="1">
      <c r="A27" s="100" t="s">
        <v>57</v>
      </c>
      <c r="B27" s="100"/>
      <c r="C27" s="100"/>
      <c r="D27" s="100"/>
      <c r="E27" s="100"/>
      <c r="F27" s="100"/>
      <c r="G27" s="101">
        <f>I27/12/D5</f>
        <v>14.87348272218113</v>
      </c>
      <c r="H27" s="102">
        <f>SUM(H8:H26)</f>
        <v>56299.106799999994</v>
      </c>
      <c r="I27" s="102">
        <f>SUM(I8:I26)</f>
        <v>675589.2816000001</v>
      </c>
      <c r="J27" s="102">
        <f>SUM(J8:J26)</f>
        <v>14.873482722181128</v>
      </c>
      <c r="K27" s="102">
        <f t="shared" ref="K27:N27" si="7">SUM(K8:K26)</f>
        <v>1616.5</v>
      </c>
      <c r="L27" s="102">
        <f t="shared" si="7"/>
        <v>173825.28</v>
      </c>
      <c r="M27" s="102">
        <f t="shared" si="7"/>
        <v>184254.79680000001</v>
      </c>
      <c r="N27" s="102">
        <f t="shared" si="7"/>
        <v>15.468422031068373</v>
      </c>
      <c r="O27" s="74">
        <f>SUM(O8:O26)</f>
        <v>19.063944879724971</v>
      </c>
      <c r="P27" s="99"/>
      <c r="Q27" s="32"/>
    </row>
    <row r="28" spans="1:17" s="43" customFormat="1">
      <c r="A28" s="103" t="s">
        <v>41</v>
      </c>
      <c r="B28" s="103"/>
      <c r="C28" s="103"/>
      <c r="D28" s="103"/>
      <c r="E28" s="103"/>
      <c r="F28" s="103"/>
      <c r="G28" s="103"/>
      <c r="H28" s="103"/>
      <c r="I28" s="103"/>
      <c r="J28" s="78"/>
      <c r="K28" s="104"/>
      <c r="L28" s="104"/>
      <c r="M28" s="105"/>
      <c r="N28" s="72"/>
      <c r="O28" s="106"/>
      <c r="P28" s="46"/>
      <c r="Q28" s="42"/>
    </row>
    <row r="29" spans="1:17" s="3" customFormat="1" ht="58.5" customHeight="1">
      <c r="A29" s="41" t="s">
        <v>2</v>
      </c>
      <c r="B29" s="41" t="s">
        <v>4</v>
      </c>
      <c r="C29" s="41" t="s">
        <v>5</v>
      </c>
      <c r="D29" s="41" t="s">
        <v>6</v>
      </c>
      <c r="E29" s="41" t="s">
        <v>7</v>
      </c>
      <c r="F29" s="9" t="s">
        <v>53</v>
      </c>
      <c r="G29" s="9"/>
      <c r="H29" s="12" t="s">
        <v>9</v>
      </c>
      <c r="I29" s="12" t="s">
        <v>8</v>
      </c>
      <c r="J29" s="41" t="s">
        <v>45</v>
      </c>
      <c r="K29" s="24"/>
      <c r="L29" s="24"/>
      <c r="M29" s="24"/>
      <c r="N29" s="97" t="s">
        <v>80</v>
      </c>
      <c r="O29" s="73" t="s">
        <v>45</v>
      </c>
      <c r="P29" s="99"/>
      <c r="Q29" s="32"/>
    </row>
    <row r="30" spans="1:17" s="3" customFormat="1" ht="27.75" customHeight="1">
      <c r="A30" s="41">
        <v>1</v>
      </c>
      <c r="B30" s="107" t="s">
        <v>41</v>
      </c>
      <c r="C30" s="108"/>
      <c r="D30" s="73">
        <v>3.12</v>
      </c>
      <c r="E30" s="41">
        <v>3785.2</v>
      </c>
      <c r="F30" s="9" t="s">
        <v>42</v>
      </c>
      <c r="G30" s="9">
        <v>12</v>
      </c>
      <c r="H30" s="12"/>
      <c r="I30" s="12">
        <f>D30*E30*G30</f>
        <v>141717.88800000001</v>
      </c>
      <c r="J30" s="14">
        <f>I30/G30/E30</f>
        <v>3.12</v>
      </c>
      <c r="K30" s="41"/>
      <c r="L30" s="41"/>
      <c r="M30" s="109"/>
      <c r="N30" s="97">
        <f>J30*1.04</f>
        <v>3.2448000000000001</v>
      </c>
      <c r="O30" s="98">
        <f>(N30*1.0296*1.092*1.072+2.04)*1.09</f>
        <v>6.4864533156937743</v>
      </c>
      <c r="P30" s="99"/>
      <c r="Q30" s="32"/>
    </row>
    <row r="31" spans="1:17" s="3" customFormat="1" ht="33.75" customHeight="1">
      <c r="A31" s="41">
        <v>2</v>
      </c>
      <c r="B31" s="110" t="s">
        <v>10</v>
      </c>
      <c r="C31" s="41" t="s">
        <v>11</v>
      </c>
      <c r="D31" s="73">
        <f>16.41*1.072*1.09</f>
        <v>19.174756800000004</v>
      </c>
      <c r="E31" s="73">
        <v>1680</v>
      </c>
      <c r="F31" s="9" t="s">
        <v>42</v>
      </c>
      <c r="G31" s="9">
        <v>1</v>
      </c>
      <c r="H31" s="12">
        <f>D31*E31</f>
        <v>32213.591424000006</v>
      </c>
      <c r="I31" s="12">
        <f>H31*G31</f>
        <v>32213.591424000006</v>
      </c>
      <c r="J31" s="95">
        <f>I31/12/D5</f>
        <v>0.70920055796259129</v>
      </c>
      <c r="K31" s="41"/>
      <c r="L31" s="41"/>
      <c r="M31" s="109"/>
      <c r="N31" s="97">
        <f t="shared" ref="N31:N32" si="8">J31*1.04</f>
        <v>0.73756858028109495</v>
      </c>
      <c r="O31" s="98">
        <f>D31*E31/E30/12</f>
        <v>0.70920055796259129</v>
      </c>
      <c r="P31" s="99"/>
      <c r="Q31" s="32"/>
    </row>
    <row r="32" spans="1:17" s="3" customFormat="1" ht="30.75" customHeight="1">
      <c r="A32" s="41">
        <f>A31+1</f>
        <v>3</v>
      </c>
      <c r="B32" s="110" t="s">
        <v>12</v>
      </c>
      <c r="C32" s="41" t="s">
        <v>11</v>
      </c>
      <c r="D32" s="73">
        <f>11.88*1.072*1.09</f>
        <v>13.881542400000003</v>
      </c>
      <c r="E32" s="73">
        <v>1680</v>
      </c>
      <c r="F32" s="9" t="s">
        <v>42</v>
      </c>
      <c r="G32" s="9">
        <v>1</v>
      </c>
      <c r="H32" s="12">
        <f>D32*E32</f>
        <v>23320.991232000004</v>
      </c>
      <c r="I32" s="12">
        <f>H32*G32</f>
        <v>23320.991232000004</v>
      </c>
      <c r="J32" s="95">
        <f>I32/12/D5</f>
        <v>0.51342490119412465</v>
      </c>
      <c r="K32" s="12"/>
      <c r="L32" s="12"/>
      <c r="M32" s="96"/>
      <c r="N32" s="97">
        <f t="shared" si="8"/>
        <v>0.53396189724188969</v>
      </c>
      <c r="O32" s="98">
        <f>D32*E32/E30/12</f>
        <v>0.51342490119412465</v>
      </c>
      <c r="P32" s="99"/>
      <c r="Q32" s="32"/>
    </row>
    <row r="33" spans="1:17" s="3" customFormat="1" ht="21.75" customHeight="1">
      <c r="A33" s="111" t="s">
        <v>57</v>
      </c>
      <c r="B33" s="111"/>
      <c r="C33" s="111"/>
      <c r="D33" s="111"/>
      <c r="E33" s="111"/>
      <c r="F33" s="111"/>
      <c r="G33" s="112"/>
      <c r="H33" s="113">
        <f>H30</f>
        <v>0</v>
      </c>
      <c r="I33" s="113">
        <f>SUM(I30:I32)</f>
        <v>197252.47065600002</v>
      </c>
      <c r="J33" s="114">
        <f>SUM(J30:J32)</f>
        <v>4.3426254591567162</v>
      </c>
      <c r="K33" s="114">
        <f t="shared" ref="K33:N33" si="9">SUM(K30:K32)</f>
        <v>0</v>
      </c>
      <c r="L33" s="114">
        <f t="shared" si="9"/>
        <v>0</v>
      </c>
      <c r="M33" s="114">
        <f t="shared" si="9"/>
        <v>0</v>
      </c>
      <c r="N33" s="114">
        <f t="shared" si="9"/>
        <v>4.5163304775229847</v>
      </c>
      <c r="O33" s="114">
        <f>SUM(O30:O32)</f>
        <v>7.7090787748504894</v>
      </c>
      <c r="P33" s="99"/>
      <c r="Q33" s="32"/>
    </row>
    <row r="34" spans="1:17" s="45" customFormat="1">
      <c r="A34" s="100" t="s">
        <v>58</v>
      </c>
      <c r="B34" s="100"/>
      <c r="C34" s="100"/>
      <c r="D34" s="100"/>
      <c r="E34" s="100"/>
      <c r="F34" s="100"/>
      <c r="G34" s="101">
        <f>I34/12/E30</f>
        <v>19.216108181337848</v>
      </c>
      <c r="H34" s="102"/>
      <c r="I34" s="102">
        <f>I27+I33</f>
        <v>872841.75225600018</v>
      </c>
      <c r="J34" s="102">
        <f>J27+J33</f>
        <v>19.216108181337844</v>
      </c>
      <c r="K34" s="102">
        <f t="shared" ref="K34:O34" si="10">K27+K33</f>
        <v>1616.5</v>
      </c>
      <c r="L34" s="102">
        <f t="shared" si="10"/>
        <v>173825.28</v>
      </c>
      <c r="M34" s="102">
        <f t="shared" si="10"/>
        <v>184254.79680000001</v>
      </c>
      <c r="N34" s="102">
        <f t="shared" si="10"/>
        <v>19.984752508591356</v>
      </c>
      <c r="O34" s="74">
        <f t="shared" si="10"/>
        <v>26.773023654575461</v>
      </c>
      <c r="P34" s="115"/>
      <c r="Q34" s="44"/>
    </row>
    <row r="35" spans="1:17" s="43" customFormat="1">
      <c r="A35" s="103" t="s">
        <v>56</v>
      </c>
      <c r="B35" s="103"/>
      <c r="C35" s="103"/>
      <c r="D35" s="103"/>
      <c r="E35" s="103"/>
      <c r="F35" s="103"/>
      <c r="G35" s="103"/>
      <c r="H35" s="103"/>
      <c r="I35" s="103"/>
      <c r="J35" s="78"/>
      <c r="K35" s="116"/>
      <c r="L35" s="116"/>
      <c r="M35" s="117"/>
      <c r="N35" s="72"/>
      <c r="O35" s="85"/>
      <c r="P35" s="86"/>
      <c r="Q35" s="42"/>
    </row>
    <row r="36" spans="1:17" s="47" customFormat="1" ht="64.5" customHeight="1">
      <c r="A36" s="118">
        <v>1</v>
      </c>
      <c r="B36" s="110" t="s">
        <v>82</v>
      </c>
      <c r="C36" s="98" t="s">
        <v>14</v>
      </c>
      <c r="D36" s="73">
        <v>2.82</v>
      </c>
      <c r="E36" s="73">
        <v>3785.2</v>
      </c>
      <c r="F36" s="14" t="s">
        <v>25</v>
      </c>
      <c r="G36" s="9">
        <v>12</v>
      </c>
      <c r="H36" s="12">
        <f>D36*E36</f>
        <v>10674.263999999999</v>
      </c>
      <c r="I36" s="12">
        <f>H36*G36</f>
        <v>128091.16799999999</v>
      </c>
      <c r="J36" s="95">
        <f>I36/G36/E36</f>
        <v>2.82</v>
      </c>
      <c r="K36" s="46"/>
      <c r="L36" s="46"/>
      <c r="M36" s="46"/>
      <c r="N36" s="72">
        <v>2.82</v>
      </c>
      <c r="O36" s="74">
        <v>3.48</v>
      </c>
      <c r="P36" s="46"/>
      <c r="Q36" s="46"/>
    </row>
    <row r="37" spans="1:17" s="47" customFormat="1">
      <c r="A37" s="119" t="s">
        <v>79</v>
      </c>
      <c r="B37" s="120"/>
      <c r="C37" s="120"/>
      <c r="D37" s="120"/>
      <c r="E37" s="120"/>
      <c r="F37" s="121"/>
      <c r="G37" s="122">
        <f>G34+D36</f>
        <v>22.036108181337848</v>
      </c>
      <c r="H37" s="123"/>
      <c r="I37" s="124"/>
      <c r="J37" s="125">
        <f>J36+J34</f>
        <v>22.036108181337845</v>
      </c>
      <c r="K37" s="125">
        <f t="shared" ref="K37:O37" si="11">K36+K34</f>
        <v>1616.5</v>
      </c>
      <c r="L37" s="125">
        <f t="shared" si="11"/>
        <v>173825.28</v>
      </c>
      <c r="M37" s="125">
        <f t="shared" si="11"/>
        <v>184254.79680000001</v>
      </c>
      <c r="N37" s="125">
        <f t="shared" si="11"/>
        <v>22.804752508591356</v>
      </c>
      <c r="O37" s="126">
        <f t="shared" si="11"/>
        <v>30.253023654575461</v>
      </c>
    </row>
    <row r="38" spans="1:17" ht="7.5" customHeight="1">
      <c r="A38" s="127"/>
      <c r="B38" s="127"/>
      <c r="C38" s="127"/>
      <c r="D38" s="127"/>
      <c r="E38" s="127"/>
      <c r="F38" s="127"/>
      <c r="G38" s="127"/>
      <c r="H38" s="127"/>
      <c r="I38" s="127"/>
      <c r="J38" s="78"/>
      <c r="K38" s="24"/>
      <c r="L38" s="24"/>
      <c r="M38" s="24"/>
      <c r="N38" s="99"/>
      <c r="O38" s="128"/>
      <c r="P38" s="99"/>
    </row>
    <row r="39" spans="1:17" ht="13.15" customHeight="1">
      <c r="A39" s="17" t="s">
        <v>43</v>
      </c>
      <c r="B39" s="84" t="s">
        <v>83</v>
      </c>
      <c r="C39" s="84"/>
      <c r="D39" s="84"/>
      <c r="E39" s="84"/>
      <c r="F39" s="84"/>
      <c r="G39" s="84"/>
      <c r="H39" s="84"/>
      <c r="I39" s="84"/>
      <c r="J39" s="82"/>
      <c r="K39" s="82"/>
      <c r="L39" s="82"/>
      <c r="M39" s="82"/>
      <c r="N39" s="82"/>
      <c r="O39" s="82"/>
    </row>
    <row r="40" spans="1:17">
      <c r="A40" s="18"/>
      <c r="B40" s="84"/>
      <c r="C40" s="84"/>
      <c r="D40" s="84"/>
      <c r="E40" s="84"/>
      <c r="F40" s="84"/>
      <c r="G40" s="84"/>
      <c r="H40" s="84"/>
      <c r="I40" s="84"/>
      <c r="J40" s="82"/>
      <c r="K40" s="82"/>
      <c r="L40" s="82"/>
      <c r="M40" s="82"/>
      <c r="N40" s="82"/>
      <c r="O40" s="82"/>
    </row>
    <row r="41" spans="1:17" ht="33.75" customHeight="1">
      <c r="A41" s="18"/>
      <c r="B41" s="84"/>
      <c r="C41" s="84"/>
      <c r="D41" s="84"/>
      <c r="E41" s="84"/>
      <c r="F41" s="84"/>
      <c r="G41" s="84"/>
      <c r="H41" s="84"/>
      <c r="I41" s="84"/>
      <c r="J41" s="82"/>
      <c r="K41" s="82"/>
      <c r="L41" s="82"/>
      <c r="M41" s="82"/>
      <c r="N41" s="82"/>
      <c r="O41" s="82"/>
    </row>
    <row r="42" spans="1:17">
      <c r="A42" s="18"/>
      <c r="B42" s="18"/>
      <c r="C42" s="18"/>
      <c r="D42" s="18"/>
      <c r="E42" s="18"/>
      <c r="F42" s="19"/>
      <c r="G42" s="19"/>
      <c r="H42" s="27"/>
      <c r="I42" s="27"/>
      <c r="K42" s="30"/>
      <c r="L42" s="30"/>
    </row>
    <row r="43" spans="1:17" s="22" customFormat="1">
      <c r="A43" s="20"/>
      <c r="B43" s="21"/>
      <c r="C43" s="20"/>
      <c r="D43" s="21"/>
      <c r="F43" s="23"/>
      <c r="G43" s="23"/>
      <c r="H43" s="28"/>
      <c r="I43" s="28"/>
      <c r="J43" s="39"/>
      <c r="K43" s="20"/>
      <c r="L43" s="20"/>
      <c r="N43" s="34"/>
      <c r="O43" s="76"/>
      <c r="P43" s="34"/>
      <c r="Q43" s="34"/>
    </row>
    <row r="44" spans="1:17" s="22" customFormat="1" ht="37.9" customHeight="1">
      <c r="A44" s="20"/>
      <c r="B44" s="20"/>
      <c r="C44" s="20"/>
      <c r="D44" s="21"/>
      <c r="E44" s="20"/>
      <c r="F44" s="23"/>
      <c r="G44" s="23"/>
      <c r="H44" s="28"/>
      <c r="I44" s="28"/>
      <c r="J44" s="40"/>
      <c r="K44" s="20"/>
      <c r="L44" s="20"/>
      <c r="N44" s="34"/>
      <c r="O44" s="76"/>
      <c r="P44" s="34"/>
      <c r="Q44" s="34"/>
    </row>
  </sheetData>
  <mergeCells count="13">
    <mergeCell ref="A38:I38"/>
    <mergeCell ref="B39:O41"/>
    <mergeCell ref="O35:P35"/>
    <mergeCell ref="K6:M6"/>
    <mergeCell ref="A33:F33"/>
    <mergeCell ref="A35:I35"/>
    <mergeCell ref="A37:F37"/>
    <mergeCell ref="A34:F34"/>
    <mergeCell ref="E2:P2"/>
    <mergeCell ref="A3:O4"/>
    <mergeCell ref="A28:I28"/>
    <mergeCell ref="A6:I6"/>
    <mergeCell ref="A27:F27"/>
  </mergeCells>
  <printOptions horizontalCentered="1" verticalCentered="1"/>
  <pageMargins left="0.11811023622047245" right="0.11811023622047245" top="0.11811023622047245" bottom="0.11811023622047245" header="0.11811023622047245" footer="0.11811023622047245"/>
  <pageSetup paperSize="9" scale="58" orientation="portrait" r:id="rId1"/>
  <ignoredErrors>
    <ignoredError sqref="J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topLeftCell="A10" workbookViewId="0">
      <selection activeCell="B25" sqref="B25"/>
    </sheetView>
  </sheetViews>
  <sheetFormatPr defaultRowHeight="15.75"/>
  <cols>
    <col min="1" max="1" width="9.140625" style="48"/>
    <col min="2" max="2" width="81.42578125" style="49" customWidth="1"/>
    <col min="3" max="3" width="36.42578125" style="50" customWidth="1"/>
    <col min="4" max="4" width="40.7109375" style="49" customWidth="1"/>
    <col min="5" max="16384" width="9.140625" style="49"/>
  </cols>
  <sheetData>
    <row r="1" spans="1:4" s="66" customFormat="1" ht="33" customHeight="1">
      <c r="A1" s="64"/>
      <c r="B1" s="65" t="s">
        <v>60</v>
      </c>
      <c r="C1" s="65"/>
      <c r="D1" s="65"/>
    </row>
    <row r="2" spans="1:4" s="66" customFormat="1" ht="33" customHeight="1">
      <c r="A2" s="64"/>
      <c r="B2" s="66" t="s">
        <v>61</v>
      </c>
      <c r="C2" s="67" t="s">
        <v>73</v>
      </c>
    </row>
    <row r="3" spans="1:4" s="48" customFormat="1" ht="63">
      <c r="A3" s="51" t="s">
        <v>2</v>
      </c>
      <c r="B3" s="51" t="s">
        <v>62</v>
      </c>
      <c r="C3" s="51" t="s">
        <v>63</v>
      </c>
      <c r="D3" s="51" t="s">
        <v>64</v>
      </c>
    </row>
    <row r="4" spans="1:4" ht="31.5">
      <c r="A4" s="51">
        <v>1</v>
      </c>
      <c r="B4" s="52" t="s">
        <v>13</v>
      </c>
      <c r="C4" s="53">
        <v>0.32</v>
      </c>
      <c r="D4" s="53">
        <v>0.32</v>
      </c>
    </row>
    <row r="5" spans="1:4">
      <c r="A5" s="51">
        <f t="shared" ref="A5:A28" si="0">A4+1</f>
        <v>2</v>
      </c>
      <c r="B5" s="54" t="s">
        <v>48</v>
      </c>
      <c r="C5" s="53">
        <v>0.08</v>
      </c>
      <c r="D5" s="53">
        <v>0.08</v>
      </c>
    </row>
    <row r="6" spans="1:4">
      <c r="A6" s="51">
        <f t="shared" si="0"/>
        <v>3</v>
      </c>
      <c r="B6" s="52" t="s">
        <v>17</v>
      </c>
      <c r="C6" s="53">
        <v>0.15</v>
      </c>
      <c r="D6" s="53">
        <v>0.15</v>
      </c>
    </row>
    <row r="7" spans="1:4">
      <c r="A7" s="51">
        <f t="shared" si="0"/>
        <v>4</v>
      </c>
      <c r="B7" s="52" t="s">
        <v>18</v>
      </c>
      <c r="C7" s="53">
        <v>7.0000000000000007E-2</v>
      </c>
      <c r="D7" s="53">
        <v>7.0000000000000007E-2</v>
      </c>
    </row>
    <row r="8" spans="1:4">
      <c r="A8" s="51">
        <f t="shared" si="0"/>
        <v>5</v>
      </c>
      <c r="B8" s="52" t="s">
        <v>20</v>
      </c>
      <c r="C8" s="55">
        <v>0.04</v>
      </c>
      <c r="D8" s="55">
        <v>0.04</v>
      </c>
    </row>
    <row r="9" spans="1:4" ht="31.5">
      <c r="A9" s="51">
        <f t="shared" si="0"/>
        <v>6</v>
      </c>
      <c r="B9" s="52" t="s">
        <v>23</v>
      </c>
      <c r="C9" s="55">
        <v>0.19</v>
      </c>
      <c r="D9" s="55">
        <v>0.19</v>
      </c>
    </row>
    <row r="10" spans="1:4">
      <c r="A10" s="51">
        <f t="shared" si="0"/>
        <v>7</v>
      </c>
      <c r="B10" s="52" t="s">
        <v>65</v>
      </c>
      <c r="C10" s="55">
        <v>0.17</v>
      </c>
      <c r="D10" s="55">
        <v>0.17</v>
      </c>
    </row>
    <row r="11" spans="1:4">
      <c r="A11" s="51">
        <f t="shared" si="0"/>
        <v>8</v>
      </c>
      <c r="B11" s="52" t="s">
        <v>44</v>
      </c>
      <c r="C11" s="55">
        <v>0.18</v>
      </c>
      <c r="D11" s="55">
        <v>0.18</v>
      </c>
    </row>
    <row r="12" spans="1:4">
      <c r="A12" s="51">
        <f t="shared" si="0"/>
        <v>9</v>
      </c>
      <c r="B12" s="52" t="s">
        <v>66</v>
      </c>
      <c r="C12" s="55">
        <v>0.49999999999999994</v>
      </c>
      <c r="D12" s="55">
        <v>0.49999999999999994</v>
      </c>
    </row>
    <row r="13" spans="1:4">
      <c r="A13" s="51">
        <f t="shared" si="0"/>
        <v>10</v>
      </c>
      <c r="B13" s="52" t="s">
        <v>67</v>
      </c>
      <c r="C13" s="55">
        <v>0.42</v>
      </c>
      <c r="D13" s="55">
        <v>0.42</v>
      </c>
    </row>
    <row r="14" spans="1:4">
      <c r="A14" s="51">
        <f t="shared" si="0"/>
        <v>11</v>
      </c>
      <c r="B14" s="52" t="s">
        <v>28</v>
      </c>
      <c r="C14" s="55">
        <v>0.05</v>
      </c>
      <c r="D14" s="55">
        <v>0.05</v>
      </c>
    </row>
    <row r="15" spans="1:4">
      <c r="A15" s="51">
        <f t="shared" si="0"/>
        <v>12</v>
      </c>
      <c r="B15" s="52" t="s">
        <v>30</v>
      </c>
      <c r="C15" s="55">
        <v>0.08</v>
      </c>
      <c r="D15" s="55">
        <v>0.08</v>
      </c>
    </row>
    <row r="16" spans="1:4">
      <c r="A16" s="51">
        <f t="shared" si="0"/>
        <v>13</v>
      </c>
      <c r="B16" s="52" t="s">
        <v>55</v>
      </c>
      <c r="C16" s="55">
        <v>0.24999999999999997</v>
      </c>
      <c r="D16" s="55">
        <v>0.24999999999999997</v>
      </c>
    </row>
    <row r="17" spans="1:6">
      <c r="A17" s="51">
        <f t="shared" si="0"/>
        <v>14</v>
      </c>
      <c r="B17" s="52" t="s">
        <v>51</v>
      </c>
      <c r="C17" s="55">
        <v>1.7600000000000002</v>
      </c>
      <c r="D17" s="55">
        <v>1.7600000000000002</v>
      </c>
    </row>
    <row r="18" spans="1:6">
      <c r="A18" s="51">
        <f t="shared" si="0"/>
        <v>15</v>
      </c>
      <c r="B18" s="52" t="s">
        <v>52</v>
      </c>
      <c r="C18" s="55">
        <v>2.2999999999999998</v>
      </c>
      <c r="D18" s="55">
        <v>2.2999999999999998</v>
      </c>
    </row>
    <row r="19" spans="1:6">
      <c r="A19" s="51">
        <f t="shared" si="0"/>
        <v>16</v>
      </c>
      <c r="B19" s="56" t="s">
        <v>68</v>
      </c>
      <c r="C19" s="53">
        <v>0.54</v>
      </c>
      <c r="D19" s="53"/>
      <c r="F19" s="57"/>
    </row>
    <row r="20" spans="1:6" ht="18" customHeight="1">
      <c r="A20" s="51">
        <f t="shared" si="0"/>
        <v>17</v>
      </c>
      <c r="B20" s="56" t="s">
        <v>76</v>
      </c>
      <c r="C20" s="53">
        <v>0.43</v>
      </c>
      <c r="D20" s="53">
        <v>0.43</v>
      </c>
    </row>
    <row r="21" spans="1:6" ht="31.5">
      <c r="A21" s="51">
        <f t="shared" si="0"/>
        <v>18</v>
      </c>
      <c r="B21" s="56" t="s">
        <v>77</v>
      </c>
      <c r="C21" s="53">
        <v>0.38</v>
      </c>
      <c r="D21" s="53">
        <v>0.38</v>
      </c>
    </row>
    <row r="22" spans="1:6">
      <c r="A22" s="51">
        <f t="shared" si="0"/>
        <v>19</v>
      </c>
      <c r="B22" s="56" t="s">
        <v>69</v>
      </c>
      <c r="C22" s="53">
        <v>0.27</v>
      </c>
      <c r="D22" s="53">
        <v>0.27</v>
      </c>
    </row>
    <row r="23" spans="1:6">
      <c r="A23" s="51">
        <f t="shared" si="0"/>
        <v>20</v>
      </c>
      <c r="B23" s="56" t="s">
        <v>70</v>
      </c>
      <c r="C23" s="53">
        <v>0.02</v>
      </c>
      <c r="D23" s="53">
        <v>0.02</v>
      </c>
    </row>
    <row r="24" spans="1:6">
      <c r="A24" s="51">
        <f t="shared" si="0"/>
        <v>21</v>
      </c>
      <c r="B24" s="56" t="s">
        <v>35</v>
      </c>
      <c r="C24" s="58">
        <v>4.0047289443094165</v>
      </c>
      <c r="D24" s="58">
        <v>4.0047289443094165</v>
      </c>
    </row>
    <row r="25" spans="1:6">
      <c r="A25" s="51">
        <f t="shared" si="0"/>
        <v>22</v>
      </c>
      <c r="B25" s="56" t="s">
        <v>37</v>
      </c>
      <c r="C25" s="58">
        <v>1.68</v>
      </c>
      <c r="D25" s="58">
        <v>1.68</v>
      </c>
    </row>
    <row r="26" spans="1:6">
      <c r="A26" s="51">
        <f t="shared" si="0"/>
        <v>23</v>
      </c>
      <c r="B26" s="56" t="s">
        <v>38</v>
      </c>
      <c r="C26" s="58">
        <v>0.23</v>
      </c>
      <c r="D26" s="58">
        <v>0.23</v>
      </c>
    </row>
    <row r="27" spans="1:6">
      <c r="A27" s="51">
        <f t="shared" si="0"/>
        <v>24</v>
      </c>
      <c r="B27" s="56" t="s">
        <v>40</v>
      </c>
      <c r="C27" s="58">
        <v>1.33</v>
      </c>
      <c r="D27" s="58">
        <v>1.33</v>
      </c>
    </row>
    <row r="28" spans="1:6">
      <c r="A28" s="51">
        <f t="shared" si="0"/>
        <v>25</v>
      </c>
      <c r="B28" s="60" t="s">
        <v>41</v>
      </c>
      <c r="C28" s="61">
        <v>4.0199999999999996</v>
      </c>
      <c r="D28" s="61">
        <v>4.0199999999999996</v>
      </c>
    </row>
    <row r="29" spans="1:6">
      <c r="A29" s="59"/>
      <c r="B29" s="62" t="s">
        <v>71</v>
      </c>
      <c r="C29" s="63">
        <f>SUM(C4:C28)</f>
        <v>19.464728944309414</v>
      </c>
      <c r="D29" s="63">
        <f>SUM(D4:D28)</f>
        <v>18.924728944309415</v>
      </c>
    </row>
    <row r="30" spans="1:6" ht="31.5">
      <c r="A30" s="59"/>
      <c r="B30" s="60" t="s">
        <v>72</v>
      </c>
      <c r="C30" s="88">
        <f>C29-D29</f>
        <v>0.53999999999999915</v>
      </c>
      <c r="D30" s="89"/>
    </row>
    <row r="31" spans="1:6">
      <c r="D31" s="57"/>
    </row>
    <row r="33" spans="2:3">
      <c r="B33" s="49" t="s">
        <v>74</v>
      </c>
      <c r="C33" s="50" t="s">
        <v>75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2024-12-16T06:12:54Z</dcterms:modified>
</cp:coreProperties>
</file>